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OPS_DIV\12_Stewardship\12_Stewardship\Projects\Spruce Beetle\Contracts\Ground Surveys\2020_2021\Contract\Deliverables\"/>
    </mc:Choice>
  </mc:AlternateContent>
  <xr:revisionPtr revIDLastSave="0" documentId="13_ncr:1_{16CD6804-906F-4D92-9657-E92996A92C3D}" xr6:coauthVersionLast="45" xr6:coauthVersionMax="46" xr10:uidLastSave="{00000000-0000-0000-0000-000000000000}"/>
  <bookViews>
    <workbookView xWindow="17" yWindow="17" windowWidth="16440" windowHeight="9240" tabRatio="603" xr2:uid="{00000000-000D-0000-FFFF-FFFF00000000}"/>
  </bookViews>
  <sheets>
    <sheet name="COMMENTS" sheetId="4" r:id="rId1"/>
    <sheet name="TOTALS" sheetId="2" r:id="rId2"/>
    <sheet name="BARK PATCH" sheetId="3" r:id="rId3"/>
    <sheet name="ENTRY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<sst xmlns="http://schemas.openxmlformats.org/spreadsheetml/2006/main" count="361" uniqueCount="242">
  <si>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</si>
  <si>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</si>
  <si>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</si>
  <si>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</si>
  <si>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</si>
  <si>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</si>
  <si>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</si>
  <si>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</si>
  <si>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</si>
  <si>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</si>
  <si>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</si>
  <si>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</si>
  <si>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</si>
  <si>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</si>
  <si>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</si>
  <si>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</si>
  <si>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</si>
  <si>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</si>
  <si>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</si>
  <si>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</si>
  <si>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</si>
  <si>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</si>
  <si>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</si>
  <si>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</si>
  <si>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</si>
  <si>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</si>
  <si>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</si>
  <si>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</si>
  <si>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</si>
  <si>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</si>
  <si>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</si>
  <si>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</si>
  <si>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</si>
  <si>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</si>
  <si>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</si>
  <si>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</si>
  <si>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</si>
  <si>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</si>
  <si>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</si>
  <si>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</si>
  <si>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</si>
  <si>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</si>
  <si>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</si>
  <si>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</si>
  <si>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</si>
  <si>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</si>
  <si>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</si>
  <si>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</si>
  <si>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</si>
  <si>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</si>
  <si>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</si>
  <si>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</si>
  <si>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</si>
  <si>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</si>
  <si>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</si>
  <si>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</si>
  <si>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</si>
  <si>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</si>
  <si>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</si>
  <si>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</si>
  <si>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</si>
  <si>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</si>
  <si>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</si>
  <si>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</si>
  <si>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</si>
  <si>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</si>
  <si>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</si>
  <si>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</si>
  <si>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</si>
  <si>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</si>
  <si>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</si>
  <si>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</si>
  <si>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</si>
  <si>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</si>
  <si>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</si>
  <si>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</si>
  <si>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</si>
  <si>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</si>
  <si>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</si>
  <si>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</si>
  <si>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</si>
  <si>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</si>
  <si>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</si>
  <si>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</si>
  <si>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</si>
  <si>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</si>
  <si>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</si>
  <si>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</si>
  <si>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</si>
  <si>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</si>
  <si>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</si>
  <si>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</si>
  <si>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</si>
  <si>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</si>
  <si>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</si>
  <si>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</si>
  <si>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</si>
  <si>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</si>
  <si>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</si>
  <si>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</si>
  <si>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</si>
  <si>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</si>
  <si>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</si>
  <si>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</si>
  <si>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</si>
  <si>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</si>
  <si>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</si>
  <si>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</si>
  <si>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</si>
  <si>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</si>
  <si>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</si>
  <si>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</si>
  <si>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</si>
  <si>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</si>
  <si>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</si>
  <si>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</si>
  <si>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</si>
  <si>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</si>
  <si>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</si>
  <si>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</si>
  <si>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</si>
  <si>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</si>
  <si>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</si>
  <si>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</si>
  <si>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</si>
  <si>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</si>
  <si>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</si>
  <si>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</si>
  <si>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</si>
  <si>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</si>
  <si>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</si>
  <si>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</si>
  <si>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</si>
  <si>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</si>
  <si>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</si>
  <si>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</si>
  <si>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</si>
  <si>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</si>
  <si>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</si>
  <si>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</si>
  <si>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</si>
  <si>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</si>
  <si>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</si>
  <si>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</si>
  <si>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</si>
  <si>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</si>
  <si>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</si>
  <si>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</si>
  <si>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</si>
  <si>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</si>
  <si>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</si>
  <si>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</si>
  <si>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</si>
  <si>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</si>
  <si>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</si>
  <si>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</si>
  <si>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</si>
  <si>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</si>
  <si>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</si>
  <si>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</si>
  <si>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</si>
  <si>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</si>
  <si>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</si>
  <si>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</si>
  <si>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</si>
  <si>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</si>
  <si>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</si>
  <si>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</si>
  <si>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</si>
  <si>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</si>
  <si>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</si>
  <si>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</si>
  <si>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</si>
  <si>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</si>
  <si>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</si>
  <si>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</si>
  <si>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</si>
  <si>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</si>
  <si>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</si>
  <si>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</si>
  <si>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</si>
  <si>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</si>
  <si>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</si>
  <si>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</si>
  <si>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</si>
  <si>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</si>
  <si>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</si>
  <si>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</si>
  <si>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</si>
  <si>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</si>
  <si>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</si>
  <si>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</si>
  <si>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</si>
  <si>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</si>
  <si>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</si>
  <si>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</si>
  <si>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</si>
  <si>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</si>
  <si>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</si>
  <si>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</si>
  <si>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</si>
  <si>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</si>
  <si>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</si>
  <si>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</si>
  <si>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</si>
  <si>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</si>
  <si>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</si>
  <si>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</si>
  <si>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</si>
  <si>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</si>
  <si>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</t>
  </si>
  <si>
    <t>02PM20</t>
  </si>
  <si>
    <t>Jan 21, 24, 2021</t>
  </si>
  <si>
    <t>10U 0653020</t>
  </si>
  <si>
    <t>Oetata 7km right spur 5km</t>
  </si>
  <si>
    <t>S; SBl; S(Ct)</t>
  </si>
  <si>
    <t>5-40</t>
  </si>
  <si>
    <t>Flat to moderate slopes</t>
  </si>
  <si>
    <t>Yes several</t>
  </si>
  <si>
    <t>NE</t>
  </si>
  <si>
    <t>Unknown</t>
  </si>
  <si>
    <t>Ungulates</t>
  </si>
  <si>
    <t>900-1020</t>
  </si>
  <si>
    <t xml:space="preserve">4WD </t>
  </si>
  <si>
    <t>2WD</t>
  </si>
  <si>
    <t>Existing Road systems and establish new roads and trails</t>
  </si>
  <si>
    <t>No</t>
  </si>
  <si>
    <t xml:space="preserve">Low </t>
  </si>
  <si>
    <t>Low-Moderate</t>
  </si>
  <si>
    <t>Minor 2021</t>
  </si>
  <si>
    <t xml:space="preserve">Detailed heli survyes summer 2021, Hybrid survey </t>
  </si>
  <si>
    <t>Fall/Winter 2021</t>
  </si>
  <si>
    <t xml:space="preserve">Assess development </t>
  </si>
  <si>
    <t>potential;  Hybrid ground survey Fall 2022</t>
  </si>
  <si>
    <t>Existing;  borderline endemic</t>
  </si>
  <si>
    <t xml:space="preserve">This polygon contains significant susceptible Spruce types that could support expanding or increasing local Spruce beetle </t>
  </si>
  <si>
    <t>populations.   Currently the Spruce beetle population within this survey area is low to Endemic with a few currently infested trees.</t>
  </si>
  <si>
    <t>Several infested trees have the signature of code 5's but still contain small numbers of beetle allowing the population to persist</t>
  </si>
  <si>
    <t>though does not pose an imminent threat of a rapidly expanding infestation.   There are a few code 1's also within the survey area</t>
  </si>
  <si>
    <t>that will continue to impact the stand though at this time do not anticiapte a larger outbreak.   Continued monitoring of this area</t>
  </si>
  <si>
    <t>with detailed heli surveys and future ground surveys is recommended.   Additionally it would be prudent to assess the area for future</t>
  </si>
  <si>
    <t xml:space="preserve">development to address future outbreaks of Spruce beetle should they occur.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</si>
</sst>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7"/>
  <sheetViews>
    <sheetView showGridLines="0" tabSelected="1" workbookViewId="0">
      <selection activeCell="H5" sqref="H5"/>
    </sheetView>
  </sheetViews>
  <sheetFormatPr defaultColWidth="9.15234375" defaultRowHeight="12.45" x14ac:dyDescent="0.3"/>
  <cols>
    <col min="1" max="1" width="2.69140625" style="6" customWidth="1"/>
    <col min="2" max="2" width="5.69140625" style="6" customWidth="1"/>
    <col min="3" max="3" width="5.84375" style="6" customWidth="1"/>
    <col min="4" max="4" width="8" style="6" customWidth="1"/>
    <col min="5" max="5" width="13.3046875" style="6" customWidth="1"/>
    <col min="6" max="6" width="8.15234375" style="6" customWidth="1"/>
    <col min="7" max="7" width="12.53515625" style="6" customWidth="1"/>
    <col min="8" max="8" width="11.53515625" style="6" customWidth="1"/>
    <col min="9" max="9" width="8" style="6" customWidth="1"/>
    <col min="10" max="10" width="7.15234375" style="6" customWidth="1"/>
    <col min="11" max="12" width="8.3828125" style="6" customWidth="1"/>
    <col min="13" max="13" width="3.3828125" style="6" customWidth="1"/>
    <col min="14" max="14" width="5.69140625" style="6" customWidth="1"/>
    <col min="15" max="15" width="2.69140625" style="6" customWidth="1"/>
    <col min="16" max="16384" width="9.15234375" style="6"/>
  </cols>
  <sheetData>
    <row r="1" spans="1:15" ht="12.9" thickBot="1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9" thickTop="1" x14ac:dyDescent="0.3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35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35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3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45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5.9" thickBot="1" x14ac:dyDescent="0.45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5.9" thickBot="1" x14ac:dyDescent="0.45">
      <c r="A8" s="14"/>
      <c r="B8" s="126" t="s">
        <v>78</v>
      </c>
      <c r="C8" s="127"/>
      <c r="D8" s="127"/>
      <c r="E8" s="134" t="str">
        <f>ENTRY!C3</f>
        <v>02PM20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5.9" thickBot="1" x14ac:dyDescent="0.45">
      <c r="A9" s="14"/>
      <c r="B9" s="126" t="s">
        <v>86</v>
      </c>
      <c r="C9" s="127"/>
      <c r="D9" s="127"/>
      <c r="E9" s="135">
        <f>ENTRY!D3</f>
        <v>75.8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5.9" thickBot="1" x14ac:dyDescent="0.45">
      <c r="A10" s="14"/>
      <c r="B10" s="126" t="s">
        <v>171</v>
      </c>
      <c r="C10" s="127"/>
      <c r="D10" s="127"/>
      <c r="E10" s="179" t="str">
        <f>ENTRY!F3</f>
        <v>Jan 21, 24, 2021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5.9" thickBot="1" x14ac:dyDescent="0.45">
      <c r="A11" s="14"/>
      <c r="B11" s="126" t="s">
        <v>172</v>
      </c>
      <c r="C11" s="127"/>
      <c r="D11" s="133" t="s">
        <v>84</v>
      </c>
      <c r="E11" s="136" t="str">
        <f>ENTRY!G3</f>
        <v>10U 0653020</v>
      </c>
      <c r="F11" s="133" t="s">
        <v>85</v>
      </c>
      <c r="G11" s="136">
        <f>ENTRY!H3</f>
        <v>6143076</v>
      </c>
      <c r="H11" s="50"/>
      <c r="I11" s="129" t="s">
        <v>87</v>
      </c>
      <c r="J11" s="127"/>
      <c r="K11" s="127"/>
      <c r="L11" s="134">
        <f>ENTRY!E3</f>
        <v>7850</v>
      </c>
      <c r="M11" s="127"/>
      <c r="N11" s="127"/>
      <c r="O11" s="142"/>
    </row>
    <row r="12" spans="1:15" x14ac:dyDescent="0.3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3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45" x14ac:dyDescent="0.4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3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3">
      <c r="A16" s="14"/>
      <c r="B16" s="52" t="s">
        <v>174</v>
      </c>
      <c r="C16" s="50"/>
      <c r="D16" s="50"/>
      <c r="E16" s="138" t="s">
        <v>214</v>
      </c>
      <c r="F16" s="138"/>
      <c r="G16" s="138"/>
      <c r="H16" s="52" t="s">
        <v>175</v>
      </c>
      <c r="I16" s="50"/>
      <c r="J16" s="98" t="s">
        <v>215</v>
      </c>
      <c r="K16" s="50"/>
      <c r="L16" s="52" t="s">
        <v>176</v>
      </c>
      <c r="M16" s="138" t="s">
        <v>216</v>
      </c>
      <c r="N16" s="50"/>
      <c r="O16" s="15"/>
    </row>
    <row r="17" spans="1:15" x14ac:dyDescent="0.3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3">
      <c r="A18" s="14"/>
      <c r="B18" s="52" t="s">
        <v>177</v>
      </c>
      <c r="C18" s="50"/>
      <c r="D18" s="50"/>
      <c r="E18" s="138" t="s">
        <v>217</v>
      </c>
      <c r="F18" s="138"/>
      <c r="G18" s="138"/>
      <c r="H18" s="52" t="s">
        <v>178</v>
      </c>
      <c r="I18" s="50"/>
      <c r="J18" s="98" t="s">
        <v>218</v>
      </c>
      <c r="K18" s="138"/>
      <c r="L18" s="52" t="s">
        <v>179</v>
      </c>
      <c r="M18" s="138" t="s">
        <v>219</v>
      </c>
      <c r="N18" s="50"/>
      <c r="O18" s="15"/>
    </row>
    <row r="19" spans="1:15" x14ac:dyDescent="0.3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3">
      <c r="A20" s="14"/>
      <c r="B20" s="52" t="s">
        <v>180</v>
      </c>
      <c r="C20" s="50"/>
      <c r="D20" s="50"/>
      <c r="E20" s="50"/>
      <c r="F20" s="50"/>
      <c r="G20" s="98" t="s">
        <v>220</v>
      </c>
      <c r="H20" s="52" t="s">
        <v>181</v>
      </c>
      <c r="I20" s="50"/>
      <c r="J20" s="98" t="s">
        <v>221</v>
      </c>
      <c r="K20" s="50"/>
      <c r="L20" s="52" t="s">
        <v>182</v>
      </c>
      <c r="M20" s="50"/>
      <c r="N20" s="138" t="s">
        <v>222</v>
      </c>
      <c r="O20" s="15"/>
    </row>
    <row r="21" spans="1:15" x14ac:dyDescent="0.3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45" x14ac:dyDescent="0.4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3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3">
      <c r="A24" s="14"/>
      <c r="B24" s="52" t="s">
        <v>184</v>
      </c>
      <c r="C24" s="50"/>
      <c r="D24" s="50"/>
      <c r="E24" s="98" t="s">
        <v>223</v>
      </c>
      <c r="F24" s="50"/>
      <c r="G24" s="50"/>
      <c r="H24" s="52" t="s">
        <v>185</v>
      </c>
      <c r="I24" s="50"/>
      <c r="J24" s="98" t="s">
        <v>224</v>
      </c>
      <c r="K24" s="50"/>
      <c r="L24" s="50"/>
      <c r="M24" s="50"/>
      <c r="N24" s="50"/>
      <c r="O24" s="15"/>
    </row>
    <row r="25" spans="1:15" x14ac:dyDescent="0.3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3">
      <c r="A26" s="14"/>
      <c r="B26" s="52" t="s">
        <v>186</v>
      </c>
      <c r="C26" s="50"/>
      <c r="D26" s="50"/>
      <c r="E26" s="50"/>
      <c r="F26" s="50"/>
      <c r="G26" s="98" t="s">
        <v>225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3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45" x14ac:dyDescent="0.4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3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3">
      <c r="A30" s="14"/>
      <c r="B30" s="52" t="s">
        <v>188</v>
      </c>
      <c r="C30" s="50"/>
      <c r="D30" s="50"/>
      <c r="E30" s="50"/>
      <c r="F30" s="98" t="s">
        <v>234</v>
      </c>
      <c r="G30" s="50"/>
      <c r="H30" s="50"/>
      <c r="I30" s="52" t="s">
        <v>189</v>
      </c>
      <c r="J30" s="50"/>
      <c r="K30" s="50"/>
      <c r="L30" s="139" t="s">
        <v>226</v>
      </c>
      <c r="M30" s="50"/>
      <c r="N30" s="50"/>
      <c r="O30" s="15"/>
    </row>
    <row r="31" spans="1:15" x14ac:dyDescent="0.3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3">
      <c r="A32" s="14"/>
      <c r="B32" s="52" t="s">
        <v>190</v>
      </c>
      <c r="C32" s="50"/>
      <c r="D32" s="50"/>
      <c r="E32" s="98" t="s">
        <v>227</v>
      </c>
      <c r="F32" s="50"/>
      <c r="G32" s="50"/>
      <c r="H32" s="50"/>
      <c r="I32" s="52" t="s">
        <v>191</v>
      </c>
      <c r="J32" s="50"/>
      <c r="K32" s="50"/>
      <c r="L32" s="98" t="s">
        <v>138</v>
      </c>
      <c r="M32" s="50"/>
      <c r="N32" s="50"/>
      <c r="O32" s="15"/>
    </row>
    <row r="33" spans="1:15" x14ac:dyDescent="0.3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3">
      <c r="A34" s="14"/>
      <c r="B34" s="52" t="s">
        <v>192</v>
      </c>
      <c r="C34" s="50"/>
      <c r="D34" s="50"/>
      <c r="E34" s="98" t="s">
        <v>228</v>
      </c>
      <c r="F34" s="138"/>
      <c r="G34" s="50"/>
      <c r="H34" s="50"/>
      <c r="I34" s="52" t="s">
        <v>193</v>
      </c>
      <c r="J34" s="50"/>
      <c r="K34" s="50"/>
      <c r="L34" s="98" t="s">
        <v>229</v>
      </c>
      <c r="M34" s="50"/>
      <c r="N34" s="50"/>
      <c r="O34" s="15"/>
    </row>
    <row r="35" spans="1:15" x14ac:dyDescent="0.3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35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3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4">
      <c r="A38" s="14"/>
      <c r="B38" s="155" t="s">
        <v>195</v>
      </c>
      <c r="C38" s="131"/>
      <c r="D38" s="131"/>
      <c r="E38" s="176" t="s">
        <v>230</v>
      </c>
      <c r="F38" s="178"/>
      <c r="G38" s="131"/>
      <c r="H38" s="50"/>
      <c r="I38" s="156" t="s">
        <v>196</v>
      </c>
      <c r="J38" s="50"/>
      <c r="K38" s="50"/>
      <c r="L38" s="138" t="s">
        <v>232</v>
      </c>
      <c r="M38" s="50"/>
      <c r="N38" s="50"/>
      <c r="O38" s="15"/>
    </row>
    <row r="39" spans="1:15" x14ac:dyDescent="0.3">
      <c r="A39" s="14"/>
      <c r="B39"/>
      <c r="C39" s="50"/>
      <c r="D39" s="50"/>
      <c r="E39" s="176" t="s">
        <v>231</v>
      </c>
      <c r="F39" s="50"/>
      <c r="G39" s="50"/>
      <c r="H39" s="50"/>
      <c r="I39" s="50"/>
      <c r="J39" s="138" t="s">
        <v>233</v>
      </c>
      <c r="K39" s="50"/>
      <c r="L39" s="50"/>
      <c r="M39" s="50"/>
      <c r="N39" s="50"/>
      <c r="O39" s="15"/>
    </row>
    <row r="40" spans="1:15" x14ac:dyDescent="0.3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3">
      <c r="A41" s="76"/>
      <c r="B41" s="98" t="s">
        <v>235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3">
      <c r="A42" s="76"/>
      <c r="B42" s="98" t="s">
        <v>236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3">
      <c r="A43" s="76"/>
      <c r="B43" s="98" t="s">
        <v>237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3">
      <c r="A44" s="76"/>
      <c r="B44" s="98" t="s">
        <v>238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3">
      <c r="A45" s="76"/>
      <c r="B45" s="98" t="s">
        <v>239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3">
      <c r="A46" s="76"/>
      <c r="B46" s="98" t="s">
        <v>240</v>
      </c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3">
      <c r="A47" s="76"/>
      <c r="B47" s="98" t="s">
        <v>241</v>
      </c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3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3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3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3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3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3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3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3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2.9" thickBot="1" x14ac:dyDescent="0.3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2.9" thickTop="1" x14ac:dyDescent="0.3"/>
  </sheetData>
  <phoneticPr fontId="0" type="noConversion"/>
  <pageMargins left="3.937007874015748E-2" right="3.937007874015748E-2" top="0.19685039370078741" bottom="0.19685039370078741" header="0.51181102362204722" footer="0.51181102362204722"/>
  <pageSetup scale="98" orientation="portrait" horizontalDpi="36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4"/>
  <sheetViews>
    <sheetView topLeftCell="A16" workbookViewId="0">
      <selection activeCell="O54" sqref="O54"/>
    </sheetView>
  </sheetViews>
  <sheetFormatPr defaultRowHeight="12.45" x14ac:dyDescent="0.3"/>
  <cols>
    <col min="1" max="1" width="2.69140625" customWidth="1"/>
    <col min="4" max="4" width="8.69140625" customWidth="1"/>
    <col min="5" max="5" width="10.3046875" customWidth="1"/>
    <col min="6" max="6" width="11.69140625" customWidth="1"/>
    <col min="7" max="7" width="8.15234375" customWidth="1"/>
    <col min="8" max="8" width="7.3828125" customWidth="1"/>
    <col min="9" max="9" width="7.3046875" customWidth="1"/>
    <col min="10" max="10" width="12.69140625" customWidth="1"/>
    <col min="11" max="11" width="7.3046875" customWidth="1"/>
    <col min="12" max="12" width="14.15234375" customWidth="1"/>
    <col min="13" max="13" width="5.3046875" customWidth="1"/>
    <col min="14" max="14" width="2.69140625" customWidth="1"/>
  </cols>
  <sheetData>
    <row r="1" spans="1:14" s="6" customFormat="1" ht="12.9" thickTop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35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35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3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3">
      <c r="A5" s="48"/>
      <c r="M5" s="50"/>
      <c r="N5" s="49"/>
    </row>
    <row r="6" spans="1:14" ht="12.9" thickBot="1" x14ac:dyDescent="0.3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2.9" thickBot="1" x14ac:dyDescent="0.3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2.9" thickBot="1" x14ac:dyDescent="0.35">
      <c r="A8" s="48"/>
      <c r="C8" s="46" t="s">
        <v>78</v>
      </c>
      <c r="D8" s="45"/>
      <c r="E8" s="136" t="str">
        <f>ENTRY!C3</f>
        <v>02PM20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2.9" thickBot="1" x14ac:dyDescent="0.3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2.9" thickBot="1" x14ac:dyDescent="0.35">
      <c r="A10" s="48"/>
      <c r="C10" s="46" t="s">
        <v>82</v>
      </c>
      <c r="D10" s="45"/>
      <c r="E10" s="180" t="str">
        <f>ENTRY!F3</f>
        <v>Jan 21, 24, 2021</v>
      </c>
      <c r="F10" s="45"/>
      <c r="H10" s="46" t="s">
        <v>83</v>
      </c>
      <c r="I10" s="46" t="s">
        <v>84</v>
      </c>
      <c r="J10" s="136" t="str">
        <f>ENTRY!G3</f>
        <v>10U 0653020</v>
      </c>
      <c r="K10" s="46" t="s">
        <v>85</v>
      </c>
      <c r="L10" s="136">
        <f>ENTRY!H3</f>
        <v>6143076</v>
      </c>
      <c r="M10" s="50"/>
      <c r="N10" s="49"/>
    </row>
    <row r="11" spans="1:14" ht="12.9" thickBot="1" x14ac:dyDescent="0.35">
      <c r="A11" s="48"/>
      <c r="B11" s="50"/>
      <c r="C11" s="46" t="s">
        <v>86</v>
      </c>
      <c r="D11" s="45"/>
      <c r="E11" s="136">
        <f>ENTRY!D3</f>
        <v>75.8</v>
      </c>
      <c r="F11" s="45"/>
      <c r="H11" s="46" t="s">
        <v>87</v>
      </c>
      <c r="I11" s="45"/>
      <c r="J11" s="45"/>
      <c r="K11" s="136">
        <f>ENTRY!E3</f>
        <v>7850</v>
      </c>
      <c r="L11" s="45"/>
      <c r="M11" s="50"/>
      <c r="N11" s="49"/>
    </row>
    <row r="12" spans="1:14" x14ac:dyDescent="0.3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3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2.9" thickBot="1" x14ac:dyDescent="0.3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2.9" thickBot="1" x14ac:dyDescent="0.3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2.9" thickBot="1" x14ac:dyDescent="0.3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2" customHeight="1" x14ac:dyDescent="0.3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3">
      <c r="A18" s="48"/>
      <c r="B18" s="52" t="s">
        <v>71</v>
      </c>
      <c r="C18" s="50"/>
      <c r="D18" s="88">
        <f>ENTRY!DR203</f>
        <v>38</v>
      </c>
      <c r="E18" s="80">
        <f>ENTRY!DS203</f>
        <v>0</v>
      </c>
      <c r="F18" s="89">
        <f>ENTRY!DT203</f>
        <v>1</v>
      </c>
      <c r="G18" s="80">
        <f>ENTRY!DU203</f>
        <v>0</v>
      </c>
      <c r="H18" s="89">
        <f>ENTRY!DV203</f>
        <v>0</v>
      </c>
      <c r="I18" s="80">
        <f>ENTRY!DW203</f>
        <v>2</v>
      </c>
      <c r="J18" s="89">
        <f>ENTRY!DX203</f>
        <v>0</v>
      </c>
      <c r="K18" s="50"/>
      <c r="L18" s="50"/>
      <c r="M18" s="50"/>
      <c r="N18" s="49"/>
    </row>
    <row r="19" spans="1:14" ht="7.2" customHeight="1" x14ac:dyDescent="0.3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3">
      <c r="A20" s="48"/>
      <c r="B20" s="52" t="s">
        <v>91</v>
      </c>
      <c r="C20" s="50"/>
      <c r="D20" s="99">
        <f>ENTRY!DR203/ENTRY!DQ203*10</f>
        <v>190</v>
      </c>
      <c r="E20" s="100">
        <f>ENTRY!DS203/ENTRY!DQ203*10</f>
        <v>0</v>
      </c>
      <c r="F20" s="101">
        <f>ENTRY!DT203/ENTRY!DQ203*10</f>
        <v>5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10</v>
      </c>
      <c r="J20" s="101">
        <f>ENTRY!DX203/ENTRY!DQ203*10</f>
        <v>0</v>
      </c>
      <c r="K20" s="50"/>
      <c r="L20" s="50"/>
      <c r="M20" s="50"/>
      <c r="N20" s="49"/>
    </row>
    <row r="21" spans="1:14" ht="7.2" customHeight="1" x14ac:dyDescent="0.3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3">
      <c r="A22" s="48"/>
      <c r="B22" s="52" t="s">
        <v>92</v>
      </c>
      <c r="C22" s="50"/>
      <c r="D22" s="99">
        <f>ENTRY!J8/ENTRY!D8*100</f>
        <v>86.36363636363636</v>
      </c>
      <c r="E22" s="100">
        <f>ENTRY!J9/ENTRY!D8*100</f>
        <v>0</v>
      </c>
      <c r="F22" s="101">
        <f>ENTRY!J10/ENTRY!D8*100</f>
        <v>2.2727272727272729</v>
      </c>
      <c r="G22" s="100">
        <f>ENTRY!J11/ENTRY!D8*100</f>
        <v>0</v>
      </c>
      <c r="H22" s="101">
        <f>ENTRY!J12/ENTRY!D8*100</f>
        <v>0</v>
      </c>
      <c r="I22" s="100">
        <f>ENTRY!J13/ENTRY!D8*100</f>
        <v>4.5454545454545459</v>
      </c>
      <c r="J22" s="101">
        <f>ENTRY!J14/ENTRY!D8*100</f>
        <v>0</v>
      </c>
      <c r="K22" s="50"/>
      <c r="L22" s="50"/>
      <c r="M22" s="50"/>
      <c r="N22" s="49"/>
    </row>
    <row r="23" spans="1:14" ht="7.2" customHeight="1" thickBot="1" x14ac:dyDescent="0.3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2" customHeight="1" x14ac:dyDescent="0.3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2" customHeight="1" x14ac:dyDescent="0.3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2" customHeight="1" x14ac:dyDescent="0.3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2" customHeight="1" x14ac:dyDescent="0.3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2.9" thickBot="1" x14ac:dyDescent="0.3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3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2.9" thickBot="1" x14ac:dyDescent="0.3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3">
      <c r="A31" s="48"/>
      <c r="B31" s="50"/>
      <c r="C31" s="50"/>
      <c r="D31" s="50"/>
      <c r="E31" s="50"/>
      <c r="F31" s="141" t="s">
        <v>209</v>
      </c>
      <c r="G31" s="82">
        <f>ENTRY!DY203</f>
        <v>2</v>
      </c>
      <c r="H31" s="83"/>
      <c r="I31" s="102">
        <f>ENTRY!DY203/ENTRY!DQ203*10</f>
        <v>10</v>
      </c>
      <c r="J31" s="83"/>
      <c r="K31" s="50"/>
      <c r="L31" s="50"/>
      <c r="M31" s="50"/>
      <c r="N31" s="49"/>
    </row>
    <row r="32" spans="1:14" ht="12.9" thickBot="1" x14ac:dyDescent="0.35">
      <c r="A32" s="48"/>
      <c r="B32" s="50"/>
      <c r="C32" s="50"/>
      <c r="D32" s="50"/>
      <c r="E32" s="50"/>
      <c r="F32" s="140" t="s">
        <v>98</v>
      </c>
      <c r="G32" s="84">
        <f>ENTRY!DZ203</f>
        <v>1</v>
      </c>
      <c r="H32" s="85"/>
      <c r="I32" s="103">
        <f>ENTRY!DZ203/ENTRY!DQ203*10</f>
        <v>5</v>
      </c>
      <c r="J32" s="85"/>
      <c r="K32" s="50"/>
      <c r="L32" s="50"/>
      <c r="M32" s="50"/>
      <c r="N32" s="49"/>
    </row>
    <row r="33" spans="1:14" ht="12.9" thickBot="1" x14ac:dyDescent="0.3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3">
      <c r="A34" s="48"/>
      <c r="K34" s="50"/>
      <c r="L34" s="50"/>
      <c r="M34" s="50"/>
      <c r="N34" s="49"/>
    </row>
    <row r="35" spans="1:14" ht="12.9" thickBot="1" x14ac:dyDescent="0.3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3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3">
      <c r="A37" s="48"/>
      <c r="B37" s="52" t="s">
        <v>101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3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3">
      <c r="A39" s="48"/>
      <c r="B39" s="52" t="s">
        <v>102</v>
      </c>
      <c r="C39" s="50"/>
      <c r="D39" s="50"/>
      <c r="E39" s="50"/>
      <c r="G39" s="98">
        <f>ENTRY!O203</f>
        <v>2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3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3">
      <c r="A41" s="48"/>
      <c r="B41" s="52" t="s">
        <v>103</v>
      </c>
      <c r="C41" s="50"/>
      <c r="D41" s="50"/>
      <c r="E41" s="50"/>
      <c r="G41" s="98">
        <f>G31+G32+G33</f>
        <v>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3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3">
      <c r="A43" s="48"/>
      <c r="B43" s="52" t="s">
        <v>104</v>
      </c>
      <c r="C43" s="50"/>
      <c r="D43" s="50"/>
      <c r="E43" s="50"/>
      <c r="G43" s="98">
        <f>ENTRY!EB203</f>
        <v>41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3">
      <c r="A44" s="48"/>
      <c r="B44" s="52" t="s">
        <v>105</v>
      </c>
      <c r="C44" s="50"/>
      <c r="D44" s="50"/>
      <c r="E44" s="50"/>
      <c r="G44" s="111">
        <f>G43/ENTRY!EC203*100</f>
        <v>93.181818181818173</v>
      </c>
      <c r="H44" s="50"/>
      <c r="I44" s="109"/>
      <c r="J44" s="50"/>
      <c r="K44" s="50"/>
      <c r="L44" s="50"/>
      <c r="M44" s="50"/>
      <c r="N44" s="49"/>
    </row>
    <row r="45" spans="1:14" ht="12.9" thickBot="1" x14ac:dyDescent="0.3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3">
      <c r="A46" s="48"/>
      <c r="M46" s="50"/>
      <c r="N46" s="49"/>
    </row>
    <row r="47" spans="1:14" x14ac:dyDescent="0.3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2.9" thickBot="1" x14ac:dyDescent="0.35">
      <c r="A48" s="48"/>
      <c r="B48" s="108" t="s">
        <v>106</v>
      </c>
      <c r="C48" s="151" t="s">
        <v>107</v>
      </c>
      <c r="M48" s="50"/>
      <c r="N48" s="49"/>
    </row>
    <row r="49" spans="1:14" ht="12.9" thickBot="1" x14ac:dyDescent="0.3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2.9" thickBot="1" x14ac:dyDescent="0.3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3">
      <c r="A51" s="48"/>
      <c r="C51" s="9" t="s">
        <v>113</v>
      </c>
      <c r="D51" s="9">
        <v>3.3</v>
      </c>
      <c r="E51" s="80">
        <f>SUM(ENTRY!S3:'ENTRY'!S202)</f>
        <v>10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3">
      <c r="A52" s="48"/>
      <c r="C52" s="9" t="s">
        <v>114</v>
      </c>
      <c r="D52" s="9">
        <v>5.3</v>
      </c>
      <c r="E52" s="80">
        <f>SUM(ENTRY!AC3:'ENTRY'!AC202)</f>
        <v>7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3">
      <c r="A53" s="48"/>
      <c r="C53" s="9" t="s">
        <v>115</v>
      </c>
      <c r="D53" s="9">
        <v>7.1</v>
      </c>
      <c r="E53" s="80">
        <f>SUM(ENTRY!AM3:'ENTRY'!AM202)</f>
        <v>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3">
      <c r="A54" s="48"/>
      <c r="C54" s="9" t="s">
        <v>116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1</v>
      </c>
      <c r="M54" s="50"/>
      <c r="N54" s="49"/>
    </row>
    <row r="55" spans="1:14" x14ac:dyDescent="0.3">
      <c r="A55" s="48"/>
      <c r="C55" s="9" t="s">
        <v>117</v>
      </c>
      <c r="D55" s="9">
        <v>11.6</v>
      </c>
      <c r="E55" s="80">
        <f>SUM(ENTRY!BG3:'ENTRY'!BG202)</f>
        <v>4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3">
      <c r="A56" s="48"/>
      <c r="C56" s="9" t="s">
        <v>118</v>
      </c>
      <c r="D56" s="9">
        <v>13.8</v>
      </c>
      <c r="E56" s="80">
        <f>SUM(ENTRY!BQ3:'ENTRY'!BQ202)</f>
        <v>2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1</v>
      </c>
      <c r="K56" s="80">
        <f>SUM(ENTRY!BW3:'ENTRY'!BW202)</f>
        <v>0</v>
      </c>
      <c r="L56" s="88">
        <f>ENTRY!BX203+ENTRY!BY203+ENTRY!BZ203</f>
        <v>1</v>
      </c>
      <c r="M56" s="50"/>
      <c r="N56" s="49"/>
    </row>
    <row r="57" spans="1:14" x14ac:dyDescent="0.3">
      <c r="A57" s="48"/>
      <c r="C57" s="9" t="s">
        <v>119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3">
      <c r="A58" s="48"/>
      <c r="C58" s="9" t="s">
        <v>120</v>
      </c>
      <c r="D58" s="9">
        <v>18.7</v>
      </c>
      <c r="E58" s="80">
        <f>SUM(ENTRY!CK3:'ENTRY'!CK202)</f>
        <v>3</v>
      </c>
      <c r="F58" s="80">
        <f>SUM(ENTRY!CL3:'ENTRY'!CL202)</f>
        <v>0</v>
      </c>
      <c r="G58" s="80">
        <f>SUM(ENTRY!CM3:'ENTRY'!CM202)</f>
        <v>1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2.9" thickBot="1" x14ac:dyDescent="0.35">
      <c r="A59" s="48"/>
      <c r="C59" s="123" t="s">
        <v>121</v>
      </c>
      <c r="D59" s="123">
        <v>25.3</v>
      </c>
      <c r="E59" s="146">
        <f>SUM(ENTRY!CU3:'ENTRY'!CU202)</f>
        <v>5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1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2.9" thickBot="1" x14ac:dyDescent="0.35">
      <c r="A60" s="48"/>
      <c r="C60" s="123"/>
      <c r="D60" s="123" t="s">
        <v>71</v>
      </c>
      <c r="E60" s="144">
        <f t="shared" ref="E60:L60" si="0">SUM(E51:E59)</f>
        <v>38</v>
      </c>
      <c r="F60" s="144">
        <f t="shared" si="0"/>
        <v>0</v>
      </c>
      <c r="G60" s="144">
        <f t="shared" si="0"/>
        <v>1</v>
      </c>
      <c r="H60" s="144">
        <f t="shared" si="0"/>
        <v>0</v>
      </c>
      <c r="I60" s="144">
        <f t="shared" si="0"/>
        <v>0</v>
      </c>
      <c r="J60" s="144">
        <f t="shared" si="0"/>
        <v>2</v>
      </c>
      <c r="K60" s="144">
        <f t="shared" si="0"/>
        <v>0</v>
      </c>
      <c r="L60" s="145">
        <f t="shared" si="0"/>
        <v>3</v>
      </c>
      <c r="N60" s="49"/>
    </row>
    <row r="61" spans="1:14" x14ac:dyDescent="0.3">
      <c r="A61" s="48"/>
      <c r="N61" s="49"/>
    </row>
    <row r="62" spans="1:14" x14ac:dyDescent="0.3">
      <c r="A62" s="48"/>
      <c r="H62" s="143" t="s">
        <v>206</v>
      </c>
      <c r="N62" s="49"/>
    </row>
    <row r="63" spans="1:14" ht="12.9" thickBot="1" x14ac:dyDescent="0.3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2.9" thickTop="1" x14ac:dyDescent="0.3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scale="91" orientation="portrait" horizontalDpi="36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49"/>
  <sheetViews>
    <sheetView workbookViewId="0">
      <selection activeCell="H1" sqref="H1"/>
    </sheetView>
  </sheetViews>
  <sheetFormatPr defaultColWidth="9.15234375" defaultRowHeight="12.45" x14ac:dyDescent="0.3"/>
  <cols>
    <col min="1" max="1" width="3.3046875" style="6" customWidth="1"/>
    <col min="2" max="2" width="5.3046875" style="6" customWidth="1"/>
    <col min="3" max="3" width="5.84375" style="6" customWidth="1"/>
    <col min="4" max="4" width="7.53515625" style="6" customWidth="1"/>
    <col min="5" max="5" width="6.69140625" style="6" customWidth="1"/>
    <col min="6" max="6" width="7.69140625" style="6" customWidth="1"/>
    <col min="7" max="7" width="9.3828125" style="6" customWidth="1"/>
    <col min="8" max="8" width="10.69140625" style="6" customWidth="1"/>
    <col min="9" max="9" width="7.53515625" style="6" customWidth="1"/>
    <col min="10" max="10" width="6.69140625" style="6" customWidth="1"/>
    <col min="11" max="11" width="7.84375" style="6" customWidth="1"/>
    <col min="12" max="12" width="9.53515625" style="6" customWidth="1"/>
    <col min="13" max="13" width="10.69140625" style="6" customWidth="1"/>
    <col min="14" max="14" width="2.69140625" style="6" customWidth="1"/>
    <col min="15" max="16384" width="9.15234375" style="6"/>
  </cols>
  <sheetData>
    <row r="1" spans="1:14" ht="12.9" thickTop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35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35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3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3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2.9" thickBot="1" x14ac:dyDescent="0.3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2.9" thickBot="1" x14ac:dyDescent="0.3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3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2.9" thickBot="1" x14ac:dyDescent="0.3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3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3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6</v>
      </c>
      <c r="G11" s="80">
        <f>ENTRY!DJ4</f>
        <v>0</v>
      </c>
      <c r="H11" s="80">
        <f>ENTRY!DF4</f>
        <v>2</v>
      </c>
      <c r="I11" s="80">
        <f>ENTRY!DL4</f>
        <v>0</v>
      </c>
      <c r="J11" s="80">
        <f>ENTRY!DN4</f>
        <v>0</v>
      </c>
      <c r="K11" s="80">
        <f>ENTRY!DM4</f>
        <v>9</v>
      </c>
      <c r="L11" s="80">
        <f>ENTRY!DO4</f>
        <v>0</v>
      </c>
      <c r="M11" s="80">
        <f>ENTRY!DK4</f>
        <v>2</v>
      </c>
      <c r="N11" s="15"/>
    </row>
    <row r="12" spans="1:14" x14ac:dyDescent="0.3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3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3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3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3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3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3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3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3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3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3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3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3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3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3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3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3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2.9" thickBot="1" x14ac:dyDescent="0.3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2.9" thickBot="1" x14ac:dyDescent="0.3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6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9</v>
      </c>
      <c r="L30" s="117">
        <f t="shared" si="0"/>
        <v>0</v>
      </c>
      <c r="M30" s="118">
        <f t="shared" si="0"/>
        <v>2</v>
      </c>
      <c r="N30" s="15"/>
    </row>
    <row r="31" spans="1:15" x14ac:dyDescent="0.3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2.9" thickBot="1" x14ac:dyDescent="0.3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3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3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3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3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3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3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3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3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3">
      <c r="A41" s="14"/>
      <c r="B41" s="20" t="s">
        <v>149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3">
      <c r="A42" s="14"/>
      <c r="B42" s="20" t="s">
        <v>150</v>
      </c>
      <c r="C42" s="16"/>
      <c r="D42" s="16"/>
      <c r="E42"/>
      <c r="G42" s="98">
        <f>(F30+K30)/ENTRY!L16</f>
        <v>7.5</v>
      </c>
      <c r="N42" s="15"/>
      <c r="O42"/>
    </row>
    <row r="43" spans="1:15" ht="12.9" thickBot="1" x14ac:dyDescent="0.3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3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3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2.9" thickBot="1" x14ac:dyDescent="0.3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3">
      <c r="A47" s="14"/>
      <c r="N47" s="15"/>
      <c r="O47"/>
    </row>
    <row r="48" spans="1:15" x14ac:dyDescent="0.3">
      <c r="A48" s="14"/>
      <c r="B48" s="96" t="s">
        <v>154</v>
      </c>
      <c r="F48" s="175">
        <f>(ENTRY!A32+ENTRY!A33/1.5+ENTRY!A34/2)*ENTRY!A35</f>
        <v>423.55371900826447</v>
      </c>
      <c r="N48" s="15"/>
      <c r="O48"/>
    </row>
    <row r="49" spans="1:15" x14ac:dyDescent="0.3">
      <c r="A49" s="14"/>
      <c r="N49" s="15"/>
      <c r="O49"/>
    </row>
    <row r="50" spans="1:15" x14ac:dyDescent="0.3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3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3">
      <c r="A52" s="14"/>
      <c r="N52" s="15"/>
      <c r="O52"/>
    </row>
    <row r="53" spans="1:15" x14ac:dyDescent="0.3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3">
      <c r="A54" s="14"/>
      <c r="B54" s="71"/>
      <c r="C54" s="71"/>
      <c r="F54" s="71"/>
      <c r="G54" s="71"/>
      <c r="N54" s="15"/>
      <c r="O54"/>
    </row>
    <row r="55" spans="1:15" x14ac:dyDescent="0.3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3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2.9" thickBot="1" x14ac:dyDescent="0.3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2.9" thickBot="1" x14ac:dyDescent="0.3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2.9" thickTop="1" x14ac:dyDescent="0.3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3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3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3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3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3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3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3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3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3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3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3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3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3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3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3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3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3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3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3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3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3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3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3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3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3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3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3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3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3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3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3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3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3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3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3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3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3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3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3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3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3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3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3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3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3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3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3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3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3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3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3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3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3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3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3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3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3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3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3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3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3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3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3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3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3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3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3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3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3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3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3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3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3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3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3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3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3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3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3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3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3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3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3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3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3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3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3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3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3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3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3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3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3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3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3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3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3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3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3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3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3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3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3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3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3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3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3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3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3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3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3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3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3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3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3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3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3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3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3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3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3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3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3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3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3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3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3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3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3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3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3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3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3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3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3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3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3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3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3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3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3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3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3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3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3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3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3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3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3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3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3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3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3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3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3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3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3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3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3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3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3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3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3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3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3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3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3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3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3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3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3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3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3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3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3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3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3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3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3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3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D1" workbookViewId="0">
      <selection activeCell="K3" sqref="K3"/>
    </sheetView>
  </sheetViews>
  <sheetFormatPr defaultColWidth="9.15234375" defaultRowHeight="12.45" x14ac:dyDescent="0.3"/>
  <cols>
    <col min="1" max="1" width="10" style="6" customWidth="1"/>
    <col min="2" max="3" width="11" style="6" customWidth="1"/>
    <col min="4" max="4" width="8.53515625" style="6" customWidth="1"/>
    <col min="5" max="5" width="11" style="6" customWidth="1"/>
    <col min="6" max="6" width="5.69140625" style="6" customWidth="1"/>
    <col min="7" max="8" width="4.84375" style="6" customWidth="1"/>
    <col min="9" max="9" width="10.15234375" style="6" customWidth="1"/>
    <col min="10" max="10" width="10.69140625" style="6" customWidth="1"/>
    <col min="11" max="11" width="9.84375" style="6" customWidth="1"/>
    <col min="12" max="12" width="12.15234375" style="6" customWidth="1"/>
    <col min="13" max="14" width="6" style="6" customWidth="1"/>
    <col min="15" max="15" width="11.3046875" style="6" customWidth="1"/>
    <col min="16" max="16" width="3.69140625" style="6" customWidth="1"/>
    <col min="17" max="17" width="7" style="6" customWidth="1"/>
    <col min="18" max="18" width="4.84375" style="6" customWidth="1"/>
    <col min="19" max="82" width="5" style="6" customWidth="1"/>
    <col min="83" max="83" width="4.69140625" style="6" customWidth="1"/>
    <col min="84" max="108" width="5" style="6" customWidth="1"/>
    <col min="109" max="110" width="9.15234375" style="6"/>
    <col min="111" max="120" width="10.3828125" style="6" customWidth="1"/>
    <col min="121" max="131" width="9.15234375" style="6"/>
    <col min="132" max="132" width="10.69140625" style="6" customWidth="1"/>
    <col min="133" max="133" width="15.84375" style="6" customWidth="1"/>
    <col min="134" max="134" width="9.69140625" style="6" customWidth="1"/>
    <col min="135" max="16384" width="9.15234375" style="6"/>
  </cols>
  <sheetData>
    <row r="1" spans="1:135" s="23" customFormat="1" ht="12.9" thickBot="1" x14ac:dyDescent="0.3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2.9" thickBot="1" x14ac:dyDescent="0.3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3">
      <c r="A3" s="6" t="s">
        <v>210</v>
      </c>
      <c r="C3" s="181" t="s">
        <v>211</v>
      </c>
      <c r="D3" s="181">
        <v>75.8</v>
      </c>
      <c r="E3" s="181">
        <v>7850</v>
      </c>
      <c r="F3" s="182" t="s">
        <v>212</v>
      </c>
      <c r="G3" s="181" t="s">
        <v>213</v>
      </c>
      <c r="H3" s="181">
        <v>6143076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1</v>
      </c>
      <c r="P3" s="183">
        <v>1</v>
      </c>
      <c r="Q3" s="184">
        <v>1000</v>
      </c>
      <c r="R3" s="184">
        <v>1100</v>
      </c>
      <c r="S3" s="187">
        <v>10</v>
      </c>
      <c r="T3" s="186"/>
      <c r="U3" s="186"/>
      <c r="V3" s="186"/>
      <c r="W3" s="186"/>
      <c r="X3" s="186"/>
      <c r="Y3" s="186"/>
      <c r="Z3" s="186"/>
      <c r="AA3" s="186"/>
      <c r="AB3" s="186"/>
      <c r="AC3" s="189">
        <v>4</v>
      </c>
      <c r="AD3" s="186"/>
      <c r="AE3" s="186"/>
      <c r="AF3" s="186"/>
      <c r="AG3" s="186"/>
      <c r="AH3" s="186"/>
      <c r="AI3" s="186"/>
      <c r="AJ3" s="186"/>
      <c r="AK3" s="186"/>
      <c r="AL3" s="186"/>
      <c r="AM3" s="189">
        <v>1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/>
      <c r="AX3" s="186"/>
      <c r="AY3" s="186"/>
      <c r="AZ3" s="186"/>
      <c r="BA3" s="186"/>
      <c r="BB3" s="186"/>
      <c r="BC3" s="186"/>
      <c r="BD3" s="186"/>
      <c r="BE3" s="186"/>
      <c r="BF3" s="186"/>
      <c r="BG3" s="189"/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>
        <v>1</v>
      </c>
      <c r="BW3" s="186"/>
      <c r="BX3" s="186"/>
      <c r="BY3" s="186">
        <v>1</v>
      </c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>
        <v>2</v>
      </c>
      <c r="CV3" s="186"/>
      <c r="CW3" s="186"/>
      <c r="CX3" s="186"/>
      <c r="CY3" s="186"/>
      <c r="CZ3" s="186">
        <v>1</v>
      </c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17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2</v>
      </c>
      <c r="DX3" s="6">
        <f t="shared" si="0"/>
        <v>0</v>
      </c>
      <c r="DY3" s="6">
        <f t="shared" si="0"/>
        <v>0</v>
      </c>
      <c r="DZ3" s="6">
        <f t="shared" si="0"/>
        <v>1</v>
      </c>
      <c r="EA3" s="6">
        <f t="shared" si="0"/>
        <v>0</v>
      </c>
      <c r="EB3" s="6">
        <f>DR3+DS3+DT3+DU3+DV3+DW3+DX3</f>
        <v>19</v>
      </c>
      <c r="EC3" s="6">
        <f>DY3+DZ3+EA3+EB3</f>
        <v>20</v>
      </c>
      <c r="ED3" s="6">
        <f>IF(DF3&gt;=1,1,0)</f>
        <v>0</v>
      </c>
      <c r="EE3" s="6">
        <f>IF(DK3&gt;=1,1,0)</f>
        <v>0</v>
      </c>
    </row>
    <row r="4" spans="1:135" x14ac:dyDescent="0.3">
      <c r="N4" s="6">
        <v>2</v>
      </c>
      <c r="O4" s="6">
        <v>1</v>
      </c>
      <c r="P4" s="42">
        <v>3</v>
      </c>
      <c r="Q4" s="10">
        <v>0</v>
      </c>
      <c r="R4" s="10">
        <v>100</v>
      </c>
      <c r="S4" s="9"/>
      <c r="T4" s="10"/>
      <c r="U4" s="10"/>
      <c r="V4" s="10"/>
      <c r="W4" s="10"/>
      <c r="X4" s="10"/>
      <c r="Y4" s="10"/>
      <c r="Z4" s="10"/>
      <c r="AA4" s="10"/>
      <c r="AB4" s="10"/>
      <c r="AC4" s="9">
        <v>3</v>
      </c>
      <c r="AD4" s="10"/>
      <c r="AE4" s="10"/>
      <c r="AF4" s="10"/>
      <c r="AG4" s="10"/>
      <c r="AH4" s="10"/>
      <c r="AI4" s="10"/>
      <c r="AJ4" s="10"/>
      <c r="AK4" s="10"/>
      <c r="AL4" s="10"/>
      <c r="AM4" s="9">
        <v>3</v>
      </c>
      <c r="AN4" s="10"/>
      <c r="AO4" s="10"/>
      <c r="AP4" s="10"/>
      <c r="AQ4" s="10"/>
      <c r="AR4" s="10"/>
      <c r="AS4" s="10"/>
      <c r="AT4" s="10"/>
      <c r="AU4" s="10"/>
      <c r="AV4" s="10"/>
      <c r="AW4" s="9">
        <v>1</v>
      </c>
      <c r="AX4" s="10"/>
      <c r="AY4" s="10"/>
      <c r="AZ4" s="10"/>
      <c r="BA4" s="10"/>
      <c r="BB4" s="10"/>
      <c r="BC4" s="10"/>
      <c r="BD4" s="10">
        <v>1</v>
      </c>
      <c r="BE4" s="10"/>
      <c r="BF4" s="10"/>
      <c r="BG4" s="9">
        <v>4</v>
      </c>
      <c r="BH4" s="10"/>
      <c r="BI4" s="10"/>
      <c r="BJ4" s="10"/>
      <c r="BK4" s="10"/>
      <c r="BL4" s="10"/>
      <c r="BM4" s="10"/>
      <c r="BN4" s="10"/>
      <c r="BO4" s="10"/>
      <c r="BP4" s="10"/>
      <c r="BQ4" s="9">
        <v>2</v>
      </c>
      <c r="BR4" s="10"/>
      <c r="BS4" s="10"/>
      <c r="BT4" s="10"/>
      <c r="BU4" s="10"/>
      <c r="BV4" s="10"/>
      <c r="BW4" s="10"/>
      <c r="BX4" s="10"/>
      <c r="BY4" s="10"/>
      <c r="BZ4" s="10"/>
      <c r="CA4" s="9">
        <v>2</v>
      </c>
      <c r="CB4" s="10"/>
      <c r="CC4" s="10"/>
      <c r="CD4" s="10"/>
      <c r="CE4" s="10"/>
      <c r="CF4" s="10"/>
      <c r="CG4" s="10"/>
      <c r="CH4" s="10">
        <v>1</v>
      </c>
      <c r="CI4" s="10"/>
      <c r="CJ4" s="10"/>
      <c r="CK4" s="9">
        <v>3</v>
      </c>
      <c r="CL4" s="10"/>
      <c r="CM4" s="10">
        <v>1</v>
      </c>
      <c r="CN4" s="10"/>
      <c r="CO4" s="10"/>
      <c r="CP4" s="10"/>
      <c r="CQ4" s="10"/>
      <c r="CR4" s="10"/>
      <c r="CS4" s="10"/>
      <c r="CT4" s="10"/>
      <c r="CU4" s="9">
        <v>3</v>
      </c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>
        <v>2</v>
      </c>
      <c r="DG4" s="10">
        <v>0</v>
      </c>
      <c r="DH4" s="10">
        <v>6</v>
      </c>
      <c r="DI4" s="10">
        <v>0</v>
      </c>
      <c r="DJ4" s="10">
        <v>0</v>
      </c>
      <c r="DK4" s="10">
        <v>2</v>
      </c>
      <c r="DL4" s="10">
        <v>0</v>
      </c>
      <c r="DM4" s="10">
        <v>9</v>
      </c>
      <c r="DN4" s="10">
        <v>0</v>
      </c>
      <c r="DO4" s="10">
        <v>0</v>
      </c>
      <c r="DP4" s="16"/>
      <c r="DQ4" s="6">
        <f t="shared" ref="DQ4:DQ19" si="1">IF(R4&gt;=1,1,0)</f>
        <v>1</v>
      </c>
      <c r="DR4" s="6">
        <f t="shared" ref="DR4:DR19" si="2">S4+AC4+AM4+AW4+BG4+BQ4+CA4+CK4+CU4</f>
        <v>21</v>
      </c>
      <c r="DS4" s="6">
        <f t="shared" ref="DS4:EA13" si="3">T4+AD4+AN4+AX4+BH4+BR4+CB4+CL4+CV4</f>
        <v>0</v>
      </c>
      <c r="DT4" s="6">
        <f t="shared" si="3"/>
        <v>1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2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22</v>
      </c>
      <c r="EC4" s="6">
        <f t="shared" ref="EC4:EC19" si="5">DY4+DZ4+EA4+EB4</f>
        <v>24</v>
      </c>
      <c r="ED4" s="6">
        <f t="shared" ref="ED4:ED19" si="6">IF(DF4&gt;=1,1,0)</f>
        <v>1</v>
      </c>
      <c r="EE4" s="6">
        <f t="shared" ref="EE4:EE19" si="7">IF(DK4&gt;=1,1,0)</f>
        <v>1</v>
      </c>
    </row>
    <row r="5" spans="1:135" x14ac:dyDescent="0.3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3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3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3">
      <c r="A8" s="96">
        <f>TOTALS!D20+TOTALS!E20+TOTALS!F20+TOTALS!G20+TOTALS!H20+TOTALS!I20+TOTALS!J20+TOTALS!I31+TOTALS!I32+TOTALS!I33</f>
        <v>220</v>
      </c>
      <c r="D8" s="6">
        <f>A8*D3</f>
        <v>16676</v>
      </c>
      <c r="I8" s="96" t="s">
        <v>54</v>
      </c>
      <c r="J8" s="6">
        <f>TOTALS!D20*D3</f>
        <v>14402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3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3">
      <c r="I10" s="96" t="s">
        <v>56</v>
      </c>
      <c r="J10" s="6">
        <f>TOTALS!F20*D3</f>
        <v>379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3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3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3">
      <c r="I13" s="96" t="s">
        <v>61</v>
      </c>
      <c r="J13" s="6">
        <f>TOTALS!I20*D3</f>
        <v>758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3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3">
      <c r="A15" s="6">
        <v>2</v>
      </c>
      <c r="B15" s="96">
        <f>U203+AE203+AO203+AY203+BI203+BS203+CL203+CM203+CW203</f>
        <v>1</v>
      </c>
      <c r="E15" s="6">
        <v>2</v>
      </c>
      <c r="F15" s="96">
        <f>(U203*0.2125)+(AE203*0.275)+(AO203*0.325)+(AY203*0.375)+(BI203*0.425)+(BS203*0.475)+(CC203*0.525)+(CM203*0.575)+(CW203*0.601)</f>
        <v>0.57499999999999996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3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3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3">
      <c r="A18" s="6">
        <v>5</v>
      </c>
      <c r="B18" s="96">
        <f>X203+AH203+AR203+BB203+BL203+BV203+CF203+CP203+CZ203</f>
        <v>2</v>
      </c>
      <c r="E18" s="6">
        <v>5</v>
      </c>
      <c r="F18" s="96">
        <f>(X203*0.2125)+(AH203*0.275)+(AR203*0.325)+(BB203*0.375)+(BL203*0.425)+(BV203*0.475)+(CF203*0.525)+(CP203*0.575)+(CZ203*0.601)</f>
        <v>1.0760000000000001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3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3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3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3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3">
      <c r="B23" s="6">
        <v>2</v>
      </c>
      <c r="C23" s="6">
        <f t="shared" si="15"/>
        <v>0.57499999999999996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3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3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3">
      <c r="B26" s="6">
        <v>5</v>
      </c>
      <c r="C26" s="6">
        <f t="shared" si="15"/>
        <v>0.53800000000000003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3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3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3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3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3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3">
      <c r="A32" s="163">
        <f>TOTALS!E22+TOTALS!F22</f>
        <v>2.2727272727272729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3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3">
      <c r="A34" s="163">
        <f>TOTALS!I22+TOTALS!J22</f>
        <v>4.5454545454545459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3">
      <c r="A35" s="163">
        <f>TOTALS!G44</f>
        <v>93.181818181818173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3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3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3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3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3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3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3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3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3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3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3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3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3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3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3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3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3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3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3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3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3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3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3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3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3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3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3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3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3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3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3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3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3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3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3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3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3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3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3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3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3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3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3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3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3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3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3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3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3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3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3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3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3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3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3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3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3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3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3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3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3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3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3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3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3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3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3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3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3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3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3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3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3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3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3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3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3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3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3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3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3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3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3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3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3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3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3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3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3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3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3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3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3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3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3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3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3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3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3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3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3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3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3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3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3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3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3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3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3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3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3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3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3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3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3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3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3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3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3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3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3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3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3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3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3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3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3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3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3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3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3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3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3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3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3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3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3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3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3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3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3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3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3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3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3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3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3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3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3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3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3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3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3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3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3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3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3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3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3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3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3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3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3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3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3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3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3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3">
      <c r="M203" s="28" t="s">
        <v>71</v>
      </c>
      <c r="N203" s="28"/>
      <c r="O203" s="28">
        <f>SUM(O3:O202)</f>
        <v>2</v>
      </c>
      <c r="P203" s="43"/>
      <c r="S203" s="44">
        <f>SUM(S3:S202)</f>
        <v>10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7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1</v>
      </c>
      <c r="BE203" s="29">
        <f t="shared" si="102"/>
        <v>0</v>
      </c>
      <c r="BF203" s="29">
        <f t="shared" si="102"/>
        <v>0</v>
      </c>
      <c r="BG203" s="44">
        <f t="shared" si="102"/>
        <v>4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2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1</v>
      </c>
      <c r="BW203" s="29">
        <f t="shared" si="103"/>
        <v>0</v>
      </c>
      <c r="BX203" s="29">
        <f t="shared" si="103"/>
        <v>0</v>
      </c>
      <c r="BY203" s="29">
        <f t="shared" si="103"/>
        <v>1</v>
      </c>
      <c r="BZ203" s="29">
        <f t="shared" si="103"/>
        <v>0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1</v>
      </c>
      <c r="CI203" s="29">
        <f t="shared" si="104"/>
        <v>0</v>
      </c>
      <c r="CJ203" s="29">
        <f t="shared" si="104"/>
        <v>0</v>
      </c>
      <c r="CK203" s="44">
        <f t="shared" si="104"/>
        <v>3</v>
      </c>
      <c r="CL203" s="29">
        <f t="shared" si="104"/>
        <v>0</v>
      </c>
      <c r="CM203" s="29">
        <f t="shared" si="104"/>
        <v>1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5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1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38</v>
      </c>
      <c r="DS203" s="29">
        <f t="shared" si="106"/>
        <v>0</v>
      </c>
      <c r="DT203" s="29">
        <f t="shared" si="106"/>
        <v>1</v>
      </c>
      <c r="DU203" s="29">
        <f t="shared" si="106"/>
        <v>0</v>
      </c>
      <c r="DV203" s="29">
        <f t="shared" si="106"/>
        <v>0</v>
      </c>
      <c r="DW203" s="29">
        <f t="shared" si="106"/>
        <v>2</v>
      </c>
      <c r="DX203" s="29">
        <f t="shared" si="106"/>
        <v>0</v>
      </c>
      <c r="DY203" s="29">
        <f t="shared" si="106"/>
        <v>2</v>
      </c>
      <c r="DZ203" s="29">
        <f t="shared" si="106"/>
        <v>1</v>
      </c>
      <c r="EA203" s="29">
        <f t="shared" si="106"/>
        <v>0</v>
      </c>
      <c r="EB203" s="29">
        <f t="shared" si="106"/>
        <v>41</v>
      </c>
      <c r="EC203" s="29">
        <f t="shared" si="106"/>
        <v>44</v>
      </c>
      <c r="ED203" s="29">
        <f t="shared" si="106"/>
        <v>1</v>
      </c>
      <c r="EE203" s="29">
        <f t="shared" si="106"/>
        <v>1</v>
      </c>
    </row>
    <row r="204" spans="13:135" x14ac:dyDescent="0.3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COMMENTS</vt:lpstr>
      <vt:lpstr>TOTALS</vt:lpstr>
      <vt:lpstr>BARK PATCH</vt:lpstr>
      <vt:lpstr>ENTRY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Fonda, Anne Marie FLNR:EX</cp:lastModifiedBy>
  <cp:lastPrinted>2021-03-02T17:31:51Z</cp:lastPrinted>
  <dcterms:created xsi:type="dcterms:W3CDTF">1996-10-03T18:46:17Z</dcterms:created>
  <dcterms:modified xsi:type="dcterms:W3CDTF">2021-03-02T17:32:55Z</dcterms:modified>
</cp:coreProperties>
</file>